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eta.jianu\Desktop\07.04.2021 PSC 10 ani STB SA\"/>
    </mc:Choice>
  </mc:AlternateContent>
  <xr:revisionPtr revIDLastSave="0" documentId="13_ncr:1_{DC4C1901-E30C-4F95-9311-BB5C3152CB0A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Anexa 11.4.1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2" l="1"/>
  <c r="G33" i="2" s="1"/>
  <c r="F30" i="2"/>
  <c r="E30" i="2"/>
  <c r="D30" i="2"/>
  <c r="C30" i="2" s="1"/>
  <c r="K29" i="2"/>
  <c r="J29" i="2"/>
  <c r="I29" i="2"/>
  <c r="G29" i="2"/>
  <c r="F29" i="2"/>
  <c r="K28" i="2"/>
  <c r="J28" i="2"/>
  <c r="I28" i="2"/>
  <c r="G28" i="2"/>
  <c r="F28" i="2"/>
  <c r="G27" i="2"/>
  <c r="F27" i="2"/>
  <c r="G26" i="2"/>
  <c r="F26" i="2"/>
  <c r="G25" i="2"/>
  <c r="F25" i="2"/>
  <c r="G24" i="2"/>
  <c r="F24" i="2"/>
  <c r="E23" i="2"/>
  <c r="K24" i="2" s="1"/>
  <c r="D23" i="2"/>
  <c r="J27" i="2" s="1"/>
  <c r="C23" i="2"/>
  <c r="I27" i="2" s="1"/>
  <c r="K22" i="2"/>
  <c r="J22" i="2"/>
  <c r="I22" i="2"/>
  <c r="G22" i="2"/>
  <c r="F22" i="2"/>
  <c r="K21" i="2"/>
  <c r="J21" i="2"/>
  <c r="I21" i="2"/>
  <c r="G21" i="2"/>
  <c r="F21" i="2"/>
  <c r="G20" i="2"/>
  <c r="F20" i="2"/>
  <c r="G19" i="2"/>
  <c r="F19" i="2"/>
  <c r="G18" i="2"/>
  <c r="F18" i="2"/>
  <c r="E17" i="2"/>
  <c r="K20" i="2" s="1"/>
  <c r="D17" i="2"/>
  <c r="J17" i="2" s="1"/>
  <c r="C17" i="2"/>
  <c r="I20" i="2" s="1"/>
  <c r="G16" i="2"/>
  <c r="F16" i="2"/>
  <c r="C8" i="2"/>
  <c r="H7" i="2"/>
  <c r="C7" i="2"/>
  <c r="K23" i="2" l="1"/>
  <c r="K27" i="2"/>
  <c r="J20" i="2"/>
  <c r="J19" i="2"/>
  <c r="L21" i="2"/>
  <c r="K26" i="2"/>
  <c r="L28" i="2"/>
  <c r="G17" i="2"/>
  <c r="M17" i="2" s="1"/>
  <c r="J18" i="2"/>
  <c r="M21" i="2"/>
  <c r="L22" i="2"/>
  <c r="F23" i="2"/>
  <c r="L23" i="2" s="1"/>
  <c r="K25" i="2"/>
  <c r="M28" i="2"/>
  <c r="L29" i="2"/>
  <c r="F17" i="2"/>
  <c r="L17" i="2" s="1"/>
  <c r="M22" i="2"/>
  <c r="G23" i="2"/>
  <c r="M23" i="2" s="1"/>
  <c r="M29" i="2"/>
  <c r="C32" i="2"/>
  <c r="C34" i="2" s="1"/>
  <c r="K17" i="2"/>
  <c r="K18" i="2"/>
  <c r="K19" i="2"/>
  <c r="I23" i="2"/>
  <c r="I24" i="2"/>
  <c r="I25" i="2"/>
  <c r="I26" i="2"/>
  <c r="C31" i="2"/>
  <c r="I17" i="2"/>
  <c r="I18" i="2"/>
  <c r="I19" i="2"/>
  <c r="J23" i="2"/>
  <c r="J24" i="2"/>
  <c r="J25" i="2"/>
  <c r="J26" i="2"/>
  <c r="M27" i="2" l="1"/>
  <c r="M18" i="2"/>
  <c r="M20" i="2"/>
  <c r="L26" i="2"/>
  <c r="L27" i="2"/>
  <c r="M19" i="2"/>
  <c r="L19" i="2"/>
  <c r="M24" i="2"/>
  <c r="L20" i="2"/>
  <c r="M25" i="2"/>
  <c r="L25" i="2"/>
  <c r="M26" i="2"/>
  <c r="L24" i="2"/>
  <c r="L18" i="2"/>
  <c r="D34" i="2"/>
  <c r="C38" i="2"/>
  <c r="C33" i="2"/>
  <c r="C40" i="2" s="1"/>
  <c r="C39" i="2" l="1"/>
</calcChain>
</file>

<file path=xl/sharedStrings.xml><?xml version="1.0" encoding="utf-8"?>
<sst xmlns="http://schemas.openxmlformats.org/spreadsheetml/2006/main" count="90" uniqueCount="51">
  <si>
    <t>Indicatori</t>
  </si>
  <si>
    <t>Valoare</t>
  </si>
  <si>
    <t>Tramvai</t>
  </si>
  <si>
    <t>Troleibuz</t>
  </si>
  <si>
    <t>ANUL.....................</t>
  </si>
  <si>
    <t>MODEL DE CALCUL A COMPENSATIEI ANUALE  PE ELEMENTE DE CHELTUIELI ELIGIBILE</t>
  </si>
  <si>
    <t>1. Compensație din diferențe de tarif, respectiv:</t>
  </si>
  <si>
    <t>Diferențe de tarif pe linii urbane</t>
  </si>
  <si>
    <t>Diferențe de tarif pe linii regionale</t>
  </si>
  <si>
    <t>Compensatie linii urbane</t>
  </si>
  <si>
    <t>Compensatie linii regionale</t>
  </si>
  <si>
    <t>(C1) TOTAL COMPENSATIE ANUALA FACTURATA</t>
  </si>
  <si>
    <t xml:space="preserve">Venituri din servicii de transport public, din care: </t>
  </si>
  <si>
    <t>(II) TOTAL CHELTUIELI asociate realizării Programului de Transport, din care:</t>
  </si>
  <si>
    <t xml:space="preserve">      * CHELTUIELI PE LINII REGIO (Kilometri REGIO x Cost unitar per kilometru Autobuz)</t>
  </si>
  <si>
    <t xml:space="preserve">   * Profit rezonabil REGIO</t>
  </si>
  <si>
    <t>2. Compensație fără diferențe de tarif, respectiv:</t>
  </si>
  <si>
    <t>Intocmit,</t>
  </si>
  <si>
    <t>ANEXA 4.2</t>
  </si>
  <si>
    <t>CALCULUL COMPENSAŢIEI ANUALE - RAPORT DETALIAT ( fundamentare)</t>
  </si>
  <si>
    <t xml:space="preserve">Autobuz linii urbane </t>
  </si>
  <si>
    <t>Autobuz linii regionale</t>
  </si>
  <si>
    <t>procente pe furnizate de STB</t>
  </si>
  <si>
    <t xml:space="preserve">(Km) Număr total de kilometri, din care: </t>
  </si>
  <si>
    <t>total</t>
  </si>
  <si>
    <t>tramvai</t>
  </si>
  <si>
    <t>troleibuz</t>
  </si>
  <si>
    <t>autobuz urban</t>
  </si>
  <si>
    <t>autobuz regio</t>
  </si>
  <si>
    <t xml:space="preserve">    * Kilometri REGIO</t>
  </si>
  <si>
    <t xml:space="preserve">(c unitar) Cost unitar per kilometru  </t>
  </si>
  <si>
    <t xml:space="preserve"> (1) Venituri din vânzări de titluri de călătorie, din care:</t>
  </si>
  <si>
    <t xml:space="preserve">    *  Venituri REGIO</t>
  </si>
  <si>
    <t xml:space="preserve"> (2) Alte venituri asociate activitatii de transport</t>
  </si>
  <si>
    <t xml:space="preserve">(I) TOTAL VENITURI </t>
  </si>
  <si>
    <t>Cheltuieli totale transport public (lei), din care:</t>
  </si>
  <si>
    <t>1. Cheltuieli materiale</t>
  </si>
  <si>
    <t>1.1 Materiale, piese de schimb, obiecte de inventar</t>
  </si>
  <si>
    <t xml:space="preserve">1.2 Combustibili </t>
  </si>
  <si>
    <t>1.3 Energie, apă, gaze</t>
  </si>
  <si>
    <t>2. Cheltuieli privind servicii executate de terți</t>
  </si>
  <si>
    <t>3. Cheltuieli privind impozite, taxe și vărsăminte asimilate</t>
  </si>
  <si>
    <t>4. Cheltuieli cu personalul</t>
  </si>
  <si>
    <t>4.1 Cheltuieli cu salariile</t>
  </si>
  <si>
    <t xml:space="preserve">4.2 Contracte de mandat </t>
  </si>
  <si>
    <t>4.3 Cheltuieli cu asig.și prot.socială, fd.speciale și alte oblig.legale</t>
  </si>
  <si>
    <t>4.4 Bonusuri - tichete de masă</t>
  </si>
  <si>
    <t>5. Alte cheltuieli de exploatare</t>
  </si>
  <si>
    <t>6. Cheltuieli financiare</t>
  </si>
  <si>
    <t xml:space="preserve"> TOTAL COMPENSAŢIE ANUALĂ (II+III) - (I), din care:</t>
  </si>
  <si>
    <t>ANEXA 11.4.1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</si>
</sst>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(III) (Pr) Profit rezonabil [&quot;\ #.00%\ &quot;x (II)], din care:&quot;"/>
    <numFmt numFmtId="165" formatCode="&quot; (Pr) Profit rezonabil [&quot;\ #.00%\ &quot;x (III)+(IV)]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  <font>
      <sz val="11"/>
      <color theme="1"/>
      <name val="Tahoma"/>
      <family val="2"/>
    </font>
    <font>
      <b/>
      <sz val="11"/>
      <color rgb="FF0070C0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sz val="11"/>
      <color rgb="FFFF0000"/>
      <name val="Tahoma"/>
      <family val="2"/>
    </font>
    <font>
      <i/>
      <sz val="11"/>
      <color rgb="FFFF0000"/>
      <name val="Tahoma"/>
      <family val="2"/>
    </font>
    <font>
      <sz val="11"/>
      <color rgb="FF0070C0"/>
      <name val="Tahoma"/>
      <family val="2"/>
    </font>
    <font>
      <i/>
      <sz val="11"/>
      <color rgb="FF0070C0"/>
      <name val="Tahoma"/>
      <family val="2"/>
    </font>
    <font>
      <b/>
      <i/>
      <sz val="11"/>
      <color rgb="FFFF0000"/>
      <name val="Tahoma"/>
      <family val="2"/>
    </font>
    <font>
      <b/>
      <i/>
      <sz val="11"/>
      <color theme="1"/>
      <name val="Tahoma"/>
      <family val="2"/>
    </font>
    <font>
      <b/>
      <i/>
      <sz val="11"/>
      <color rgb="FF0070C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6A6A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justify"/>
    </xf>
    <xf numFmtId="4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/>
    <xf numFmtId="4" fontId="1" fillId="0" borderId="0" xfId="0" applyNumberFormat="1" applyFont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justify"/>
    </xf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/>
    <xf numFmtId="4" fontId="2" fillId="0" borderId="0" xfId="0" applyNumberFormat="1" applyFont="1"/>
    <xf numFmtId="0" fontId="3" fillId="0" borderId="1" xfId="0" applyFont="1" applyBorder="1"/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justify"/>
    </xf>
    <xf numFmtId="4" fontId="3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3" fontId="2" fillId="0" borderId="0" xfId="0" applyNumberFormat="1" applyFont="1"/>
    <xf numFmtId="3" fontId="1" fillId="0" borderId="1" xfId="0" applyNumberFormat="1" applyFont="1" applyBorder="1"/>
    <xf numFmtId="0" fontId="1" fillId="5" borderId="1" xfId="0" applyFont="1" applyFill="1" applyBorder="1" applyAlignment="1">
      <alignment horizontal="justify"/>
    </xf>
    <xf numFmtId="4" fontId="1" fillId="5" borderId="1" xfId="0" applyNumberFormat="1" applyFont="1" applyFill="1" applyBorder="1"/>
    <xf numFmtId="4" fontId="1" fillId="0" borderId="0" xfId="0" applyNumberFormat="1" applyFont="1" applyAlignment="1">
      <alignment horizontal="center"/>
    </xf>
    <xf numFmtId="0" fontId="1" fillId="0" borderId="1" xfId="0" applyFont="1" applyBorder="1"/>
    <xf numFmtId="3" fontId="7" fillId="5" borderId="1" xfId="0" applyNumberFormat="1" applyFont="1" applyFill="1" applyBorder="1" applyAlignment="1">
      <alignment horizontal="right" vertic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/>
    <xf numFmtId="10" fontId="4" fillId="0" borderId="1" xfId="0" applyNumberFormat="1" applyFont="1" applyBorder="1"/>
    <xf numFmtId="3" fontId="5" fillId="0" borderId="1" xfId="0" applyNumberFormat="1" applyFont="1" applyBorder="1"/>
    <xf numFmtId="3" fontId="4" fillId="0" borderId="1" xfId="0" applyNumberFormat="1" applyFont="1" applyBorder="1"/>
    <xf numFmtId="3" fontId="8" fillId="0" borderId="1" xfId="0" applyNumberFormat="1" applyFont="1" applyBorder="1"/>
    <xf numFmtId="10" fontId="9" fillId="0" borderId="1" xfId="0" applyNumberFormat="1" applyFont="1" applyBorder="1"/>
    <xf numFmtId="3" fontId="6" fillId="0" borderId="1" xfId="0" applyNumberFormat="1" applyFont="1" applyBorder="1"/>
    <xf numFmtId="3" fontId="10" fillId="0" borderId="1" xfId="0" applyNumberFormat="1" applyFont="1" applyBorder="1"/>
    <xf numFmtId="3" fontId="3" fillId="0" borderId="0" xfId="0" applyNumberFormat="1" applyFont="1"/>
    <xf numFmtId="3" fontId="11" fillId="0" borderId="1" xfId="0" applyNumberFormat="1" applyFont="1" applyBorder="1"/>
    <xf numFmtId="3" fontId="12" fillId="0" borderId="0" xfId="0" applyNumberFormat="1" applyFont="1"/>
    <xf numFmtId="3" fontId="13" fillId="0" borderId="1" xfId="0" applyNumberFormat="1" applyFont="1" applyBorder="1"/>
    <xf numFmtId="3" fontId="1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3" fontId="1" fillId="6" borderId="1" xfId="0" applyNumberFormat="1" applyFont="1" applyFill="1" applyBorder="1" applyAlignment="1">
      <alignment horizontal="right" vertical="center"/>
    </xf>
    <xf numFmtId="3" fontId="12" fillId="6" borderId="1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13" fillId="6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justify" vertical="center"/>
    </xf>
    <xf numFmtId="3" fontId="2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/>
    <xf numFmtId="164" fontId="1" fillId="6" borderId="1" xfId="0" applyNumberFormat="1" applyFont="1" applyFill="1" applyBorder="1" applyAlignment="1">
      <alignment horizontal="justify"/>
    </xf>
    <xf numFmtId="3" fontId="1" fillId="6" borderId="1" xfId="0" applyNumberFormat="1" applyFont="1" applyFill="1" applyBorder="1" applyAlignment="1">
      <alignment vertical="center"/>
    </xf>
    <xf numFmtId="0" fontId="3" fillId="6" borderId="1" xfId="0" applyFont="1" applyFill="1" applyBorder="1"/>
    <xf numFmtId="165" fontId="3" fillId="0" borderId="1" xfId="0" applyNumberFormat="1" applyFont="1" applyBorder="1" applyAlignment="1">
      <alignment horizontal="justify"/>
    </xf>
    <xf numFmtId="3" fontId="2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1" fillId="7" borderId="1" xfId="0" applyFont="1" applyFill="1" applyBorder="1" applyAlignment="1">
      <alignment horizontal="justify" vertical="center"/>
    </xf>
    <xf numFmtId="3" fontId="1" fillId="7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horizontal="right"/>
    </xf>
    <xf numFmtId="3" fontId="6" fillId="3" borderId="1" xfId="0" applyNumberFormat="1" applyFont="1" applyFill="1" applyBorder="1" applyAlignment="1">
      <alignment horizontal="right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top"/>
    </xf>
    <xf numFmtId="0" fontId="5" fillId="6" borderId="0" xfId="0" applyFont="1" applyFill="1" applyAlignment="1">
      <alignment horizontal="left" vertical="top"/>
    </xf>
    <xf numFmtId="4" fontId="1" fillId="6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0" fontId="1" fillId="6" borderId="1" xfId="0" applyFont="1" applyFill="1" applyBorder="1" applyAlignment="1">
      <alignment horizontal="justify" vertical="center"/>
    </xf>
    <xf numFmtId="0" fontId="1" fillId="6" borderId="1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 vertical="top" wrapText="1"/>
    </xf>
    <xf numFmtId="3" fontId="3" fillId="0" borderId="1" xfId="0" applyNumberFormat="1" applyFont="1" applyBorder="1" applyAlignment="1">
      <alignment horizontal="center"/>
    </xf>
    <xf numFmtId="4" fontId="1" fillId="7" borderId="2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4" fontId="1" fillId="7" borderId="4" xfId="0" applyNumberFormat="1" applyFont="1" applyFill="1" applyBorder="1" applyAlignment="1">
      <alignment horizontal="center" vertical="center"/>
    </xf>
    <xf numFmtId="4" fontId="1" fillId="6" borderId="2" xfId="0" applyNumberFormat="1" applyFont="1" applyFill="1" applyBorder="1" applyAlignment="1">
      <alignment horizontal="center" vertical="center"/>
    </xf>
    <xf numFmtId="4" fontId="1" fillId="6" borderId="3" xfId="0" applyNumberFormat="1" applyFont="1" applyFill="1" applyBorder="1" applyAlignment="1">
      <alignment horizontal="center" vertical="center"/>
    </xf>
    <xf numFmtId="4" fontId="1" fillId="6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3" fontId="1" fillId="6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5EFCD-5A9C-43CE-B2AF-06077F2BF3D8}">
  <sheetPr>
    <pageSetUpPr fitToPage="1"/>
  </sheetPr>
  <dimension ref="A1:U42"/>
  <sheetViews>
    <sheetView tabSelected="1" topLeftCell="O1" zoomScale="78" zoomScaleNormal="78" workbookViewId="0">
      <selection activeCell="AC24" sqref="AC24"/>
    </sheetView>
  </sheetViews>
  <sheetFormatPr defaultColWidth="9.140625" defaultRowHeight="14.25" x14ac:dyDescent="0.2"/>
  <cols>
    <col min="1" max="1" width="5.5703125" style="2" hidden="1" customWidth="1"/>
    <col min="2" max="2" width="64.5703125" style="2" hidden="1" customWidth="1"/>
    <col min="3" max="3" width="20.28515625" style="2" hidden="1" customWidth="1"/>
    <col min="4" max="5" width="18" style="2" hidden="1" customWidth="1"/>
    <col min="6" max="6" width="19.28515625" style="2" hidden="1" customWidth="1"/>
    <col min="7" max="7" width="18" style="2" hidden="1" customWidth="1"/>
    <col min="8" max="8" width="10.28515625" style="2" hidden="1" customWidth="1"/>
    <col min="9" max="9" width="13.42578125" style="2" hidden="1" customWidth="1"/>
    <col min="10" max="10" width="11.7109375" style="2" hidden="1" customWidth="1"/>
    <col min="11" max="11" width="11.28515625" style="2" hidden="1" customWidth="1"/>
    <col min="12" max="12" width="11.7109375" style="2" hidden="1" customWidth="1"/>
    <col min="13" max="13" width="12.5703125" style="2" hidden="1" customWidth="1"/>
    <col min="14" max="14" width="0" style="2" hidden="1" customWidth="1"/>
    <col min="15" max="15" width="56.5703125" style="2" customWidth="1"/>
    <col min="16" max="16" width="19" style="2" customWidth="1"/>
    <col min="17" max="17" width="17.5703125" style="2" customWidth="1"/>
    <col min="18" max="18" width="18.28515625" style="2" bestFit="1" customWidth="1"/>
    <col min="19" max="19" width="17.85546875" style="2" customWidth="1"/>
    <col min="20" max="20" width="18" style="2" customWidth="1"/>
    <col min="21" max="21" width="14.140625" style="2" bestFit="1" customWidth="1"/>
    <col min="22" max="16384" width="9.140625" style="2"/>
  </cols>
  <sheetData>
    <row r="1" spans="1:20" x14ac:dyDescent="0.2">
      <c r="A1" s="1"/>
      <c r="G1" s="3" t="s">
        <v>18</v>
      </c>
      <c r="H1" s="3"/>
      <c r="T1" s="3" t="s">
        <v>50</v>
      </c>
    </row>
    <row r="2" spans="1:20" x14ac:dyDescent="0.2">
      <c r="A2" s="1"/>
      <c r="G2" s="3"/>
      <c r="H2" s="3"/>
      <c r="T2" s="3"/>
    </row>
    <row r="3" spans="1:20" ht="14.25" customHeight="1" x14ac:dyDescent="0.2">
      <c r="A3" s="1"/>
      <c r="G3" s="3"/>
      <c r="H3" s="3"/>
      <c r="O3" s="84" t="s">
        <v>5</v>
      </c>
      <c r="P3" s="84"/>
      <c r="Q3" s="84"/>
      <c r="R3" s="84"/>
      <c r="S3" s="84"/>
      <c r="T3" s="84"/>
    </row>
    <row r="4" spans="1:20" ht="30.75" customHeight="1" x14ac:dyDescent="0.2">
      <c r="A4" s="92" t="s">
        <v>19</v>
      </c>
      <c r="B4" s="92"/>
      <c r="C4" s="92"/>
      <c r="D4" s="92"/>
      <c r="E4" s="92"/>
      <c r="F4" s="92"/>
      <c r="G4" s="92"/>
      <c r="H4" s="4"/>
      <c r="O4" s="74" t="s">
        <v>4</v>
      </c>
      <c r="P4" s="74"/>
      <c r="Q4" s="73"/>
      <c r="R4" s="73"/>
      <c r="S4" s="73"/>
      <c r="T4" s="73"/>
    </row>
    <row r="5" spans="1:20" ht="30.75" customHeight="1" x14ac:dyDescent="0.2"/>
    <row r="6" spans="1:20" ht="28.5" x14ac:dyDescent="0.2">
      <c r="B6" s="5" t="s">
        <v>0</v>
      </c>
      <c r="C6" s="6" t="s">
        <v>1</v>
      </c>
      <c r="D6" s="7" t="s">
        <v>2</v>
      </c>
      <c r="E6" s="7" t="s">
        <v>3</v>
      </c>
      <c r="F6" s="8" t="s">
        <v>20</v>
      </c>
      <c r="G6" s="8" t="s">
        <v>21</v>
      </c>
      <c r="H6" s="4"/>
      <c r="I6" s="93" t="s">
        <v>22</v>
      </c>
      <c r="J6" s="93"/>
      <c r="K6" s="93"/>
      <c r="L6" s="93"/>
      <c r="M6" s="93"/>
      <c r="N6" s="9"/>
      <c r="O6" s="80" t="s">
        <v>0</v>
      </c>
      <c r="P6" s="81" t="s">
        <v>1</v>
      </c>
      <c r="Q6" s="82" t="s">
        <v>2</v>
      </c>
      <c r="R6" s="82" t="s">
        <v>3</v>
      </c>
      <c r="S6" s="80" t="s">
        <v>20</v>
      </c>
      <c r="T6" s="80" t="s">
        <v>21</v>
      </c>
    </row>
    <row r="7" spans="1:20" ht="24.6" customHeight="1" x14ac:dyDescent="0.2">
      <c r="B7" s="10" t="s">
        <v>23</v>
      </c>
      <c r="C7" s="11">
        <f>D7+E7+F7+G7</f>
        <v>110960462.13000001</v>
      </c>
      <c r="D7" s="12">
        <v>20055021</v>
      </c>
      <c r="E7" s="12">
        <v>10487570.6</v>
      </c>
      <c r="F7" s="12">
        <v>66500986.380000003</v>
      </c>
      <c r="G7" s="12">
        <v>13916884.15</v>
      </c>
      <c r="H7" s="13">
        <f>G7/(F7+G7)</f>
        <v>0.17305710855410286</v>
      </c>
      <c r="I7" s="14" t="s">
        <v>24</v>
      </c>
      <c r="J7" s="15" t="s">
        <v>25</v>
      </c>
      <c r="K7" s="15" t="s">
        <v>26</v>
      </c>
      <c r="L7" s="15" t="s">
        <v>27</v>
      </c>
      <c r="M7" s="15" t="s">
        <v>28</v>
      </c>
      <c r="N7" s="9"/>
      <c r="O7" s="10" t="s">
        <v>23</v>
      </c>
      <c r="P7" s="11"/>
      <c r="Q7" s="12"/>
      <c r="R7" s="12"/>
      <c r="S7" s="12"/>
      <c r="T7" s="12"/>
    </row>
    <row r="8" spans="1:20" ht="25.15" customHeight="1" x14ac:dyDescent="0.2">
      <c r="B8" s="16" t="s">
        <v>29</v>
      </c>
      <c r="C8" s="17">
        <f>G7</f>
        <v>13916884.15</v>
      </c>
      <c r="D8" s="12"/>
      <c r="E8" s="12"/>
      <c r="F8" s="18"/>
      <c r="G8" s="18"/>
      <c r="H8" s="19"/>
      <c r="I8" s="20"/>
      <c r="J8" s="20"/>
      <c r="K8" s="20"/>
      <c r="L8" s="20"/>
      <c r="M8" s="20"/>
      <c r="O8" s="16" t="s">
        <v>29</v>
      </c>
      <c r="P8" s="17"/>
      <c r="Q8" s="12"/>
      <c r="R8" s="12"/>
      <c r="S8" s="18"/>
      <c r="T8" s="18"/>
    </row>
    <row r="9" spans="1:20" ht="21.6" customHeight="1" x14ac:dyDescent="0.2">
      <c r="B9" s="10" t="s">
        <v>30</v>
      </c>
      <c r="C9" s="11"/>
      <c r="D9" s="11">
        <v>15.89</v>
      </c>
      <c r="E9" s="11">
        <v>13.28</v>
      </c>
      <c r="F9" s="11">
        <v>9.7899999999999991</v>
      </c>
      <c r="G9" s="11">
        <v>8.3699999999999992</v>
      </c>
      <c r="H9" s="21"/>
      <c r="I9" s="20"/>
      <c r="J9" s="20"/>
      <c r="K9" s="20"/>
      <c r="L9" s="20"/>
      <c r="M9" s="20"/>
      <c r="O9" s="10" t="s">
        <v>30</v>
      </c>
      <c r="P9" s="11"/>
      <c r="Q9" s="11"/>
      <c r="R9" s="11"/>
      <c r="S9" s="11"/>
      <c r="T9" s="11"/>
    </row>
    <row r="10" spans="1:20" ht="21.6" customHeight="1" x14ac:dyDescent="0.2">
      <c r="B10" s="10"/>
      <c r="C10" s="11"/>
      <c r="D10" s="11"/>
      <c r="E10" s="11"/>
      <c r="F10" s="11"/>
      <c r="G10" s="11"/>
      <c r="H10" s="21"/>
      <c r="I10" s="20"/>
      <c r="J10" s="20"/>
      <c r="K10" s="20"/>
      <c r="L10" s="20"/>
      <c r="M10" s="20"/>
      <c r="O10" s="75" t="s">
        <v>11</v>
      </c>
      <c r="P10" s="76"/>
      <c r="Q10" s="76"/>
      <c r="R10" s="76"/>
      <c r="S10" s="76"/>
      <c r="T10" s="76"/>
    </row>
    <row r="11" spans="1:20" x14ac:dyDescent="0.2">
      <c r="B11" s="94" t="s">
        <v>12</v>
      </c>
      <c r="C11" s="94"/>
      <c r="D11" s="94"/>
      <c r="E11" s="94"/>
      <c r="F11" s="94"/>
      <c r="G11" s="94"/>
      <c r="H11" s="22"/>
      <c r="I11" s="20"/>
      <c r="J11" s="20"/>
      <c r="K11" s="20"/>
      <c r="L11" s="20"/>
      <c r="M11" s="20"/>
      <c r="O11" s="94" t="s">
        <v>12</v>
      </c>
      <c r="P11" s="94"/>
      <c r="Q11" s="94"/>
      <c r="R11" s="94"/>
      <c r="S11" s="94"/>
      <c r="T11" s="94"/>
    </row>
    <row r="12" spans="1:20" ht="29.45" customHeight="1" x14ac:dyDescent="0.2">
      <c r="B12" s="23" t="s">
        <v>31</v>
      </c>
      <c r="C12" s="12">
        <v>154754321.53</v>
      </c>
      <c r="D12" s="12"/>
      <c r="E12" s="12"/>
      <c r="F12" s="12"/>
      <c r="G12" s="12"/>
      <c r="H12" s="13"/>
      <c r="I12" s="20"/>
      <c r="J12" s="20"/>
      <c r="K12" s="20"/>
      <c r="L12" s="20"/>
      <c r="M12" s="20"/>
      <c r="O12" s="23" t="s">
        <v>31</v>
      </c>
      <c r="P12" s="12"/>
      <c r="Q12" s="12"/>
      <c r="R12" s="12"/>
      <c r="S12" s="12"/>
      <c r="T12" s="12"/>
    </row>
    <row r="13" spans="1:20" ht="19.149999999999999" customHeight="1" x14ac:dyDescent="0.2">
      <c r="B13" s="23" t="s">
        <v>32</v>
      </c>
      <c r="C13" s="18">
        <v>3096826.0504201651</v>
      </c>
      <c r="D13" s="24"/>
      <c r="E13" s="24"/>
      <c r="F13" s="18"/>
      <c r="G13" s="25"/>
      <c r="H13" s="26"/>
      <c r="I13" s="20"/>
      <c r="J13" s="20"/>
      <c r="K13" s="20"/>
      <c r="L13" s="20"/>
      <c r="M13" s="20"/>
      <c r="O13" s="23" t="s">
        <v>32</v>
      </c>
      <c r="P13" s="18"/>
      <c r="Q13" s="24"/>
      <c r="R13" s="24"/>
      <c r="S13" s="18"/>
      <c r="T13" s="25"/>
    </row>
    <row r="14" spans="1:20" ht="22.9" customHeight="1" x14ac:dyDescent="0.2">
      <c r="B14" s="23" t="s">
        <v>33</v>
      </c>
      <c r="C14" s="27">
        <v>14026135</v>
      </c>
      <c r="D14" s="27"/>
      <c r="E14" s="27"/>
      <c r="F14" s="27"/>
      <c r="G14" s="20"/>
      <c r="I14" s="20"/>
      <c r="J14" s="20"/>
      <c r="K14" s="20"/>
      <c r="L14" s="20"/>
      <c r="M14" s="20"/>
      <c r="O14" s="23" t="s">
        <v>33</v>
      </c>
      <c r="P14" s="27"/>
      <c r="Q14" s="27"/>
      <c r="R14" s="27"/>
      <c r="S14" s="27"/>
      <c r="T14" s="20"/>
    </row>
    <row r="15" spans="1:20" ht="24" customHeight="1" x14ac:dyDescent="0.2">
      <c r="B15" s="28" t="s">
        <v>34</v>
      </c>
      <c r="C15" s="29">
        <v>168780456.52581933</v>
      </c>
      <c r="D15" s="29"/>
      <c r="E15" s="29"/>
      <c r="F15" s="29"/>
      <c r="G15" s="29"/>
      <c r="H15" s="30"/>
      <c r="I15" s="20"/>
      <c r="J15" s="20"/>
      <c r="K15" s="20"/>
      <c r="L15" s="20"/>
      <c r="M15" s="20"/>
      <c r="O15" s="28" t="s">
        <v>34</v>
      </c>
      <c r="P15" s="29"/>
      <c r="Q15" s="29"/>
      <c r="R15" s="29"/>
      <c r="S15" s="29"/>
      <c r="T15" s="29"/>
    </row>
    <row r="16" spans="1:20" x14ac:dyDescent="0.2">
      <c r="B16" s="31" t="s">
        <v>35</v>
      </c>
      <c r="C16" s="32">
        <v>1346621093.0057549</v>
      </c>
      <c r="D16" s="32">
        <v>376887744.99917495</v>
      </c>
      <c r="E16" s="32">
        <v>149294316.00058615</v>
      </c>
      <c r="F16" s="32">
        <f>820439032.005994*0.83</f>
        <v>680964396.5649749</v>
      </c>
      <c r="G16" s="32">
        <f>820439032.005994*0.17</f>
        <v>139474635.44101897</v>
      </c>
      <c r="H16" s="33"/>
      <c r="I16" s="20"/>
      <c r="J16" s="20"/>
      <c r="K16" s="20"/>
      <c r="L16" s="20"/>
      <c r="M16" s="20"/>
      <c r="O16" s="31" t="s">
        <v>35</v>
      </c>
      <c r="P16" s="77"/>
      <c r="Q16" s="78"/>
      <c r="R16" s="78"/>
      <c r="S16" s="78"/>
      <c r="T16" s="78"/>
    </row>
    <row r="17" spans="2:21" ht="30.6" customHeight="1" x14ac:dyDescent="0.2">
      <c r="B17" s="34" t="s">
        <v>36</v>
      </c>
      <c r="C17" s="35">
        <f>SUM(C18:C20)</f>
        <v>284366369</v>
      </c>
      <c r="D17" s="35">
        <f t="shared" ref="D17:F17" si="0">SUM(D18:D20)</f>
        <v>61073067</v>
      </c>
      <c r="E17" s="35">
        <f t="shared" si="0"/>
        <v>20906927</v>
      </c>
      <c r="F17" s="35">
        <f t="shared" si="0"/>
        <v>167980691.24999997</v>
      </c>
      <c r="G17" s="35">
        <f>SUM(G18:G20)</f>
        <v>34405683.75</v>
      </c>
      <c r="H17" s="33"/>
      <c r="I17" s="36">
        <f>C17/C16</f>
        <v>0.21117029168559498</v>
      </c>
      <c r="J17" s="36">
        <f>D17/D16</f>
        <v>0.16204577572596238</v>
      </c>
      <c r="K17" s="36">
        <f t="shared" ref="K17:M17" si="1">E17/E16</f>
        <v>0.14003833206830135</v>
      </c>
      <c r="L17" s="36">
        <f t="shared" si="1"/>
        <v>0.24668057845219801</v>
      </c>
      <c r="M17" s="36">
        <f t="shared" si="1"/>
        <v>0.24668057845219804</v>
      </c>
      <c r="O17" s="34" t="s">
        <v>36</v>
      </c>
      <c r="P17" s="37"/>
      <c r="Q17" s="38"/>
      <c r="R17" s="38"/>
      <c r="S17" s="38"/>
      <c r="T17" s="38"/>
    </row>
    <row r="18" spans="2:21" x14ac:dyDescent="0.2">
      <c r="B18" s="25" t="s">
        <v>37</v>
      </c>
      <c r="C18" s="39">
        <v>72068282</v>
      </c>
      <c r="D18" s="39">
        <v>25179887</v>
      </c>
      <c r="E18" s="39">
        <v>12255752</v>
      </c>
      <c r="F18" s="39">
        <f>34632643*0.83</f>
        <v>28745093.689999998</v>
      </c>
      <c r="G18" s="39">
        <f>34632643*0.17</f>
        <v>5887549.3100000005</v>
      </c>
      <c r="H18" s="26"/>
      <c r="I18" s="40">
        <f>C18/C17</f>
        <v>0.25343461764988107</v>
      </c>
      <c r="J18" s="40">
        <f>D18/D17</f>
        <v>0.41229118229808237</v>
      </c>
      <c r="K18" s="40">
        <f>E18/E17</f>
        <v>0.58620532802357805</v>
      </c>
      <c r="L18" s="40">
        <f>F18/F17</f>
        <v>0.17112141565853928</v>
      </c>
      <c r="M18" s="40">
        <f>G18/G17</f>
        <v>0.17112141565853928</v>
      </c>
      <c r="O18" s="25" t="s">
        <v>37</v>
      </c>
      <c r="P18" s="41"/>
      <c r="Q18" s="42"/>
      <c r="R18" s="42"/>
      <c r="S18" s="42"/>
      <c r="T18" s="42"/>
      <c r="U18" s="43"/>
    </row>
    <row r="19" spans="2:21" x14ac:dyDescent="0.2">
      <c r="B19" s="25" t="s">
        <v>38</v>
      </c>
      <c r="C19" s="39">
        <v>162387118</v>
      </c>
      <c r="D19" s="39">
        <v>2981141</v>
      </c>
      <c r="E19" s="39">
        <v>517633</v>
      </c>
      <c r="F19" s="39">
        <f>158888344*0.83</f>
        <v>131877325.52</v>
      </c>
      <c r="G19" s="39">
        <f>158888344*0.17</f>
        <v>27011018.48</v>
      </c>
      <c r="H19" s="26"/>
      <c r="I19" s="40">
        <f>C19/C17</f>
        <v>0.57104895551133195</v>
      </c>
      <c r="J19" s="40">
        <f>D19/D17</f>
        <v>4.8812695127952228E-2</v>
      </c>
      <c r="K19" s="40">
        <f>E19/E17</f>
        <v>2.4758923202821723E-2</v>
      </c>
      <c r="L19" s="40">
        <f>F19/F17</f>
        <v>0.7850743114500669</v>
      </c>
      <c r="M19" s="40">
        <f>G19/G17</f>
        <v>0.78507431145006679</v>
      </c>
      <c r="O19" s="25" t="s">
        <v>38</v>
      </c>
      <c r="P19" s="41"/>
      <c r="Q19" s="42"/>
      <c r="R19" s="42"/>
      <c r="S19" s="42"/>
      <c r="T19" s="42"/>
    </row>
    <row r="20" spans="2:21" x14ac:dyDescent="0.2">
      <c r="B20" s="25" t="s">
        <v>39</v>
      </c>
      <c r="C20" s="39">
        <v>49910969</v>
      </c>
      <c r="D20" s="39">
        <v>32912039</v>
      </c>
      <c r="E20" s="39">
        <v>8133542</v>
      </c>
      <c r="F20" s="39">
        <f>8865388*0.83</f>
        <v>7358272.04</v>
      </c>
      <c r="G20" s="39">
        <f>8865388*0.17</f>
        <v>1507115.9600000002</v>
      </c>
      <c r="H20" s="26"/>
      <c r="I20" s="40">
        <f>C20/C17</f>
        <v>0.17551642683878696</v>
      </c>
      <c r="J20" s="40">
        <f>D20/D17</f>
        <v>0.53889612257396535</v>
      </c>
      <c r="K20" s="40">
        <f>E20/E17</f>
        <v>0.38903574877360025</v>
      </c>
      <c r="L20" s="40">
        <f>F20/F17</f>
        <v>4.3804272891394005E-2</v>
      </c>
      <c r="M20" s="40">
        <f>G20/G17</f>
        <v>4.3804272891394005E-2</v>
      </c>
      <c r="O20" s="25" t="s">
        <v>39</v>
      </c>
      <c r="P20" s="41"/>
      <c r="Q20" s="42"/>
      <c r="R20" s="42"/>
      <c r="S20" s="42"/>
      <c r="T20" s="42"/>
    </row>
    <row r="21" spans="2:21" ht="21.6" customHeight="1" x14ac:dyDescent="0.2">
      <c r="B21" s="34" t="s">
        <v>40</v>
      </c>
      <c r="C21" s="35">
        <v>33482049.005240001</v>
      </c>
      <c r="D21" s="44">
        <v>15048174.997</v>
      </c>
      <c r="E21" s="44">
        <v>3320931.0039999997</v>
      </c>
      <c r="F21" s="44">
        <f>15112943.00424*0.83</f>
        <v>12543742.693519199</v>
      </c>
      <c r="G21" s="44">
        <f>15112943.00424*0.17</f>
        <v>2569200.3107208004</v>
      </c>
      <c r="H21" s="45"/>
      <c r="I21" s="36">
        <f>C21/C16</f>
        <v>2.4863749111864619E-2</v>
      </c>
      <c r="J21" s="36">
        <f>D21/D16</f>
        <v>3.9927472295584833E-2</v>
      </c>
      <c r="K21" s="36">
        <f t="shared" ref="K21:M21" si="2">E21/E16</f>
        <v>2.2244189149082952E-2</v>
      </c>
      <c r="L21" s="36">
        <f t="shared" si="2"/>
        <v>1.8420555842264694E-2</v>
      </c>
      <c r="M21" s="36">
        <f t="shared" si="2"/>
        <v>1.8420555842264694E-2</v>
      </c>
      <c r="O21" s="34" t="s">
        <v>40</v>
      </c>
      <c r="P21" s="37"/>
      <c r="Q21" s="46"/>
      <c r="R21" s="46"/>
      <c r="S21" s="46"/>
      <c r="T21" s="46"/>
    </row>
    <row r="22" spans="2:21" ht="28.15" customHeight="1" x14ac:dyDescent="0.2">
      <c r="B22" s="27" t="s">
        <v>41</v>
      </c>
      <c r="C22" s="35">
        <v>17706433.004160002</v>
      </c>
      <c r="D22" s="44">
        <v>7375830.9979999997</v>
      </c>
      <c r="E22" s="44">
        <v>1560826.0019999999</v>
      </c>
      <c r="F22" s="44">
        <f>8769776.00416*0.83</f>
        <v>7278914.0834527994</v>
      </c>
      <c r="G22" s="44">
        <f>8769776.00416*0.17</f>
        <v>1490861.9207072002</v>
      </c>
      <c r="H22" s="45"/>
      <c r="I22" s="36">
        <f>C22/C16</f>
        <v>1.3148786318680017E-2</v>
      </c>
      <c r="J22" s="36">
        <f t="shared" ref="J22:M22" si="3">D22/D16</f>
        <v>1.9570365701373882E-2</v>
      </c>
      <c r="K22" s="36">
        <f t="shared" si="3"/>
        <v>1.0454691402945788E-2</v>
      </c>
      <c r="L22" s="36">
        <f t="shared" si="3"/>
        <v>1.0689125775400616E-2</v>
      </c>
      <c r="M22" s="36">
        <f t="shared" si="3"/>
        <v>1.0689125775400616E-2</v>
      </c>
      <c r="O22" s="47" t="s">
        <v>41</v>
      </c>
      <c r="P22" s="48"/>
      <c r="Q22" s="46"/>
      <c r="R22" s="46"/>
      <c r="S22" s="46"/>
      <c r="T22" s="46"/>
    </row>
    <row r="23" spans="2:21" ht="28.9" customHeight="1" x14ac:dyDescent="0.2">
      <c r="B23" s="34" t="s">
        <v>42</v>
      </c>
      <c r="C23" s="35">
        <f>SUM(C24:C27)</f>
        <v>998099953.99811494</v>
      </c>
      <c r="D23" s="35">
        <f t="shared" ref="D23:F23" si="4">SUM(D24:D27)</f>
        <v>287563102.00217497</v>
      </c>
      <c r="E23" s="35">
        <f t="shared" si="4"/>
        <v>122219565.99858615</v>
      </c>
      <c r="F23" s="35">
        <f t="shared" si="4"/>
        <v>488303347.37780374</v>
      </c>
      <c r="G23" s="35">
        <f>SUM(G24:G27)</f>
        <v>100013938.61955018</v>
      </c>
      <c r="H23" s="45"/>
      <c r="I23" s="36">
        <f>C23/C16</f>
        <v>0.74118841534724822</v>
      </c>
      <c r="J23" s="36">
        <f t="shared" ref="J23:M23" si="5">D23/D16</f>
        <v>0.76299403686581657</v>
      </c>
      <c r="K23" s="36">
        <f t="shared" si="5"/>
        <v>0.81864848758278441</v>
      </c>
      <c r="L23" s="36">
        <f t="shared" si="5"/>
        <v>0.71707617878552599</v>
      </c>
      <c r="M23" s="36">
        <f t="shared" si="5"/>
        <v>0.71707617878552599</v>
      </c>
      <c r="O23" s="34" t="s">
        <v>42</v>
      </c>
      <c r="P23" s="37"/>
      <c r="Q23" s="38"/>
      <c r="R23" s="38"/>
      <c r="S23" s="38"/>
      <c r="T23" s="46"/>
    </row>
    <row r="24" spans="2:21" x14ac:dyDescent="0.2">
      <c r="B24" s="25" t="s">
        <v>43</v>
      </c>
      <c r="C24" s="39">
        <v>924156323.99045134</v>
      </c>
      <c r="D24" s="39">
        <v>263917293.00082815</v>
      </c>
      <c r="E24" s="39">
        <v>113502458.99743743</v>
      </c>
      <c r="F24" s="39">
        <f>546736571.992186*0.83</f>
        <v>453791354.75351429</v>
      </c>
      <c r="G24" s="39">
        <f>546736571.992186*0.17</f>
        <v>92945217.238671616</v>
      </c>
      <c r="H24" s="26"/>
      <c r="I24" s="40">
        <f>C24/C23</f>
        <v>0.92591560623616331</v>
      </c>
      <c r="J24" s="40">
        <f>D24/D23</f>
        <v>0.91777175570609892</v>
      </c>
      <c r="K24" s="40">
        <f>E24/E23</f>
        <v>0.92867666539374261</v>
      </c>
      <c r="L24" s="40">
        <f>F24/F23</f>
        <v>0.92932263763986189</v>
      </c>
      <c r="M24" s="40">
        <f>G24/G23</f>
        <v>0.92932263763986178</v>
      </c>
      <c r="O24" s="25" t="s">
        <v>43</v>
      </c>
      <c r="P24" s="41"/>
      <c r="Q24" s="42"/>
      <c r="R24" s="42"/>
      <c r="S24" s="42"/>
      <c r="T24" s="42"/>
    </row>
    <row r="25" spans="2:21" x14ac:dyDescent="0.2">
      <c r="B25" s="25" t="s">
        <v>44</v>
      </c>
      <c r="C25" s="39">
        <v>1837840.0040832623</v>
      </c>
      <c r="D25" s="39">
        <v>825998.99924717192</v>
      </c>
      <c r="E25" s="39">
        <v>182287.00342276081</v>
      </c>
      <c r="F25" s="39">
        <f>829554.00141333*0.83</f>
        <v>688529.82117306383</v>
      </c>
      <c r="G25" s="39">
        <f>829554.00141333*0.17</f>
        <v>141024.18024026611</v>
      </c>
      <c r="H25" s="26"/>
      <c r="I25" s="40">
        <f>C25/C23</f>
        <v>1.8413386321894704E-3</v>
      </c>
      <c r="J25" s="40">
        <f>D25/D23</f>
        <v>2.8724095459261132E-3</v>
      </c>
      <c r="K25" s="40">
        <f>E25/E23</f>
        <v>1.4914715326748054E-3</v>
      </c>
      <c r="L25" s="40">
        <f>F25/F23</f>
        <v>1.4100452615581672E-3</v>
      </c>
      <c r="M25" s="40">
        <f>G25/G23</f>
        <v>1.4100452615581672E-3</v>
      </c>
      <c r="O25" s="25" t="s">
        <v>44</v>
      </c>
      <c r="P25" s="41"/>
      <c r="Q25" s="42"/>
      <c r="R25" s="42"/>
      <c r="S25" s="42"/>
      <c r="T25" s="42"/>
    </row>
    <row r="26" spans="2:21" ht="24.6" customHeight="1" x14ac:dyDescent="0.2">
      <c r="B26" s="49" t="s">
        <v>45</v>
      </c>
      <c r="C26" s="50">
        <v>34606608.998753175</v>
      </c>
      <c r="D26" s="39">
        <v>12146295.998616494</v>
      </c>
      <c r="E26" s="39">
        <v>3923862.9959698711</v>
      </c>
      <c r="F26" s="39">
        <f>18536450.0041668*0.83</f>
        <v>15385253.503458444</v>
      </c>
      <c r="G26" s="39">
        <f>18536450.0041668*0.17</f>
        <v>3151196.5007083565</v>
      </c>
      <c r="H26" s="26"/>
      <c r="I26" s="40">
        <f>C26/C23</f>
        <v>3.4672488321563971E-2</v>
      </c>
      <c r="J26" s="40">
        <f>D26/D23</f>
        <v>4.2238715308213035E-2</v>
      </c>
      <c r="K26" s="40">
        <f>E26/E23</f>
        <v>3.21050313336513E-2</v>
      </c>
      <c r="L26" s="40">
        <f>F26/F23</f>
        <v>3.1507573286313692E-2</v>
      </c>
      <c r="M26" s="40">
        <f>G26/G23</f>
        <v>3.1507573286313692E-2</v>
      </c>
      <c r="O26" s="49" t="s">
        <v>45</v>
      </c>
      <c r="P26" s="51"/>
      <c r="Q26" s="42"/>
      <c r="R26" s="42"/>
      <c r="S26" s="42"/>
      <c r="T26" s="42"/>
    </row>
    <row r="27" spans="2:21" x14ac:dyDescent="0.2">
      <c r="B27" s="25" t="s">
        <v>46</v>
      </c>
      <c r="C27" s="39">
        <v>37499181.004827179</v>
      </c>
      <c r="D27" s="39">
        <v>10673514.00348318</v>
      </c>
      <c r="E27" s="39">
        <v>4610957.0017560758</v>
      </c>
      <c r="F27" s="39">
        <f>22214709.9995879*0.83</f>
        <v>18438209.299657956</v>
      </c>
      <c r="G27" s="39">
        <f>22214709.9995879*0.17</f>
        <v>3776500.6999299433</v>
      </c>
      <c r="H27" s="26"/>
      <c r="I27" s="40">
        <f>C27/C23</f>
        <v>3.7570566810083236E-2</v>
      </c>
      <c r="J27" s="40">
        <f>D27/D23</f>
        <v>3.711711943976196E-2</v>
      </c>
      <c r="K27" s="40">
        <f>E27/E23</f>
        <v>3.7726831739931195E-2</v>
      </c>
      <c r="L27" s="40">
        <f>F27/F23</f>
        <v>3.7759743812266322E-2</v>
      </c>
      <c r="M27" s="40">
        <f>G27/G23</f>
        <v>3.7759743812266315E-2</v>
      </c>
      <c r="O27" s="25" t="s">
        <v>46</v>
      </c>
      <c r="P27" s="41"/>
      <c r="Q27" s="42"/>
      <c r="R27" s="42"/>
      <c r="S27" s="42"/>
      <c r="T27" s="42"/>
    </row>
    <row r="28" spans="2:21" x14ac:dyDescent="0.2">
      <c r="B28" s="27" t="s">
        <v>47</v>
      </c>
      <c r="C28" s="35">
        <v>12114307.99824</v>
      </c>
      <c r="D28" s="44">
        <v>5444656.0019999994</v>
      </c>
      <c r="E28" s="44">
        <v>1201561.996</v>
      </c>
      <c r="F28" s="44">
        <f>5468090.00024*0.83</f>
        <v>4538514.7001991998</v>
      </c>
      <c r="G28" s="44">
        <f>5468090.00024*0.17</f>
        <v>929575.30004080001</v>
      </c>
      <c r="H28" s="45"/>
      <c r="I28" s="36">
        <f>C28/C16</f>
        <v>8.9960777097290185E-3</v>
      </c>
      <c r="J28" s="36">
        <f t="shared" ref="J28:M28" si="6">D28/D16</f>
        <v>1.4446359888968845E-2</v>
      </c>
      <c r="K28" s="36">
        <f t="shared" si="6"/>
        <v>8.0482769082466776E-3</v>
      </c>
      <c r="L28" s="36">
        <f t="shared" si="6"/>
        <v>6.6648340546041351E-3</v>
      </c>
      <c r="M28" s="36">
        <f t="shared" si="6"/>
        <v>6.6648340546041351E-3</v>
      </c>
      <c r="O28" s="27" t="s">
        <v>47</v>
      </c>
      <c r="P28" s="37"/>
      <c r="Q28" s="46"/>
      <c r="R28" s="46"/>
      <c r="S28" s="46"/>
      <c r="T28" s="46"/>
    </row>
    <row r="29" spans="2:21" ht="23.45" customHeight="1" x14ac:dyDescent="0.2">
      <c r="B29" s="52" t="s">
        <v>48</v>
      </c>
      <c r="C29" s="35">
        <v>851980</v>
      </c>
      <c r="D29" s="44">
        <v>382913.99999999994</v>
      </c>
      <c r="E29" s="44">
        <v>84504</v>
      </c>
      <c r="F29" s="44">
        <f>384562*0.83</f>
        <v>319186.45999999996</v>
      </c>
      <c r="G29" s="44">
        <f>384562*0.17</f>
        <v>65375.540000000008</v>
      </c>
      <c r="H29" s="45"/>
      <c r="I29" s="36">
        <f>C29/C16</f>
        <v>6.3267982688309111E-4</v>
      </c>
      <c r="J29" s="36">
        <f t="shared" ref="J29:M29" si="7">D29/D16</f>
        <v>1.0159895222935365E-3</v>
      </c>
      <c r="K29" s="36">
        <f t="shared" si="7"/>
        <v>5.6602288863876252E-4</v>
      </c>
      <c r="L29" s="36">
        <f t="shared" si="7"/>
        <v>4.6872709000659842E-4</v>
      </c>
      <c r="M29" s="36">
        <f t="shared" si="7"/>
        <v>4.6872709000659847E-4</v>
      </c>
      <c r="O29" s="52" t="s">
        <v>48</v>
      </c>
      <c r="P29" s="37"/>
      <c r="Q29" s="46"/>
      <c r="R29" s="46"/>
      <c r="S29" s="46"/>
      <c r="T29" s="46"/>
    </row>
    <row r="30" spans="2:21" ht="42.6" customHeight="1" x14ac:dyDescent="0.2">
      <c r="B30" s="53" t="s">
        <v>13</v>
      </c>
      <c r="C30" s="54">
        <f>SUM(D30:G30)</f>
        <v>1225478198.2537</v>
      </c>
      <c r="D30" s="55">
        <f>D7*D9</f>
        <v>318674283.69</v>
      </c>
      <c r="E30" s="55">
        <f>E7*E9</f>
        <v>139274937.56799999</v>
      </c>
      <c r="F30" s="55">
        <f>F7*F9</f>
        <v>651044656.6602</v>
      </c>
      <c r="G30" s="55">
        <f>G7*G9</f>
        <v>116484320.33549999</v>
      </c>
      <c r="H30" s="56"/>
      <c r="O30" s="53" t="s">
        <v>13</v>
      </c>
      <c r="P30" s="54"/>
      <c r="Q30" s="57"/>
      <c r="R30" s="57"/>
      <c r="S30" s="57"/>
      <c r="T30" s="57"/>
      <c r="U30" s="43"/>
    </row>
    <row r="31" spans="2:21" ht="37.15" customHeight="1" x14ac:dyDescent="0.2">
      <c r="B31" s="58" t="s">
        <v>14</v>
      </c>
      <c r="C31" s="59">
        <f>G30</f>
        <v>116484320.33549999</v>
      </c>
      <c r="D31" s="60"/>
      <c r="E31" s="60"/>
      <c r="F31" s="60"/>
      <c r="G31" s="20"/>
      <c r="O31" s="58" t="s">
        <v>14</v>
      </c>
      <c r="P31" s="59"/>
      <c r="Q31" s="60"/>
      <c r="R31" s="60"/>
      <c r="S31" s="60"/>
      <c r="T31" s="20"/>
    </row>
    <row r="32" spans="2:21" x14ac:dyDescent="0.2">
      <c r="B32" s="61">
        <v>4.2299999999999997E-2</v>
      </c>
      <c r="C32" s="62">
        <f>C30*0.0423</f>
        <v>51837727.786131509</v>
      </c>
      <c r="D32" s="95"/>
      <c r="E32" s="95"/>
      <c r="F32" s="95"/>
      <c r="G32" s="63"/>
      <c r="O32" s="61">
        <v>3.0700000000000002E-2</v>
      </c>
      <c r="P32" s="62"/>
      <c r="Q32" s="95"/>
      <c r="R32" s="95"/>
      <c r="S32" s="95"/>
      <c r="T32" s="63"/>
    </row>
    <row r="33" spans="2:20" ht="28.15" customHeight="1" x14ac:dyDescent="0.2">
      <c r="B33" s="64" t="s">
        <v>15</v>
      </c>
      <c r="C33" s="65">
        <f>C31*0.0423</f>
        <v>4927286.7501916494</v>
      </c>
      <c r="D33" s="66"/>
      <c r="E33" s="66"/>
      <c r="F33" s="67"/>
      <c r="G33" s="59">
        <f>G30*0.0423</f>
        <v>4927286.7501916494</v>
      </c>
      <c r="H33" s="68"/>
      <c r="O33" s="64" t="s">
        <v>15</v>
      </c>
      <c r="P33" s="65"/>
      <c r="Q33" s="66"/>
      <c r="R33" s="66"/>
      <c r="S33" s="67"/>
      <c r="T33" s="59"/>
    </row>
    <row r="34" spans="2:20" ht="30.6" customHeight="1" x14ac:dyDescent="0.2">
      <c r="B34" s="69" t="s">
        <v>49</v>
      </c>
      <c r="C34" s="70">
        <f>C30+C32-C15</f>
        <v>1108535469.5140123</v>
      </c>
      <c r="D34" s="86">
        <f>C34</f>
        <v>1108535469.5140123</v>
      </c>
      <c r="E34" s="87"/>
      <c r="F34" s="87"/>
      <c r="G34" s="88"/>
      <c r="O34" s="79" t="s">
        <v>49</v>
      </c>
      <c r="P34" s="62"/>
      <c r="Q34" s="89"/>
      <c r="R34" s="90"/>
      <c r="S34" s="90"/>
      <c r="T34" s="91"/>
    </row>
    <row r="35" spans="2:20" ht="25.9" customHeight="1" x14ac:dyDescent="0.2">
      <c r="B35" s="10" t="s">
        <v>6</v>
      </c>
      <c r="C35" s="71">
        <v>110278758.41</v>
      </c>
      <c r="D35" s="85"/>
      <c r="E35" s="85"/>
      <c r="F35" s="85"/>
      <c r="G35" s="20"/>
      <c r="O35" s="10" t="s">
        <v>6</v>
      </c>
      <c r="P35" s="71"/>
      <c r="Q35" s="85"/>
      <c r="R35" s="85"/>
      <c r="S35" s="85"/>
      <c r="T35" s="20"/>
    </row>
    <row r="36" spans="2:20" ht="23.45" customHeight="1" x14ac:dyDescent="0.2">
      <c r="B36" s="16" t="s">
        <v>7</v>
      </c>
      <c r="C36" s="72">
        <v>102989565.12605043</v>
      </c>
      <c r="D36" s="85"/>
      <c r="E36" s="85"/>
      <c r="F36" s="85"/>
      <c r="G36" s="20"/>
      <c r="O36" s="16" t="s">
        <v>7</v>
      </c>
      <c r="P36" s="72"/>
      <c r="Q36" s="85"/>
      <c r="R36" s="85"/>
      <c r="S36" s="85"/>
      <c r="T36" s="20"/>
    </row>
    <row r="37" spans="2:20" ht="25.9" customHeight="1" x14ac:dyDescent="0.2">
      <c r="B37" s="16" t="s">
        <v>8</v>
      </c>
      <c r="C37" s="72">
        <v>7289193.2773109246</v>
      </c>
      <c r="D37" s="83"/>
      <c r="E37" s="83"/>
      <c r="F37" s="83"/>
      <c r="G37" s="20"/>
      <c r="O37" s="16" t="s">
        <v>8</v>
      </c>
      <c r="P37" s="72"/>
      <c r="Q37" s="83"/>
      <c r="R37" s="83"/>
      <c r="S37" s="83"/>
      <c r="T37" s="20"/>
    </row>
    <row r="38" spans="2:20" ht="29.45" customHeight="1" x14ac:dyDescent="0.2">
      <c r="B38" s="10" t="s">
        <v>16</v>
      </c>
      <c r="C38" s="71">
        <f>C34-C35</f>
        <v>998256711.10401237</v>
      </c>
      <c r="D38" s="85"/>
      <c r="E38" s="85"/>
      <c r="F38" s="85"/>
      <c r="G38" s="20"/>
      <c r="O38" s="10" t="s">
        <v>16</v>
      </c>
      <c r="P38" s="71"/>
      <c r="Q38" s="85"/>
      <c r="R38" s="85"/>
      <c r="S38" s="85"/>
      <c r="T38" s="20"/>
    </row>
    <row r="39" spans="2:20" ht="18.600000000000001" customHeight="1" x14ac:dyDescent="0.2">
      <c r="B39" s="16" t="s">
        <v>9</v>
      </c>
      <c r="C39" s="72">
        <f>C38-C40</f>
        <v>887231123.34605181</v>
      </c>
      <c r="D39" s="85"/>
      <c r="E39" s="85"/>
      <c r="F39" s="85"/>
      <c r="G39" s="20"/>
      <c r="O39" s="16" t="s">
        <v>9</v>
      </c>
      <c r="P39" s="72"/>
      <c r="Q39" s="85"/>
      <c r="R39" s="85"/>
      <c r="S39" s="85"/>
      <c r="T39" s="20"/>
    </row>
    <row r="40" spans="2:20" ht="20.45" customHeight="1" x14ac:dyDescent="0.2">
      <c r="B40" s="16" t="s">
        <v>10</v>
      </c>
      <c r="C40" s="72">
        <f>C31+C33-C13-C37</f>
        <v>111025587.75796054</v>
      </c>
      <c r="D40" s="83"/>
      <c r="E40" s="83"/>
      <c r="F40" s="83"/>
      <c r="G40" s="20"/>
      <c r="O40" s="16" t="s">
        <v>10</v>
      </c>
      <c r="P40" s="72"/>
      <c r="Q40" s="83"/>
      <c r="R40" s="83"/>
      <c r="S40" s="83"/>
      <c r="T40" s="20"/>
    </row>
    <row r="42" spans="2:20" x14ac:dyDescent="0.2">
      <c r="D42" s="9" t="s">
        <v>17</v>
      </c>
      <c r="Q42" s="9" t="s">
        <v>17</v>
      </c>
    </row>
  </sheetData>
  <mergeCells count="21">
    <mergeCell ref="I6:M6"/>
    <mergeCell ref="B11:G11"/>
    <mergeCell ref="O11:T11"/>
    <mergeCell ref="D32:F32"/>
    <mergeCell ref="Q32:S32"/>
    <mergeCell ref="D40:F40"/>
    <mergeCell ref="Q40:S40"/>
    <mergeCell ref="O3:T3"/>
    <mergeCell ref="D37:F37"/>
    <mergeCell ref="Q37:S37"/>
    <mergeCell ref="D38:F38"/>
    <mergeCell ref="Q38:S38"/>
    <mergeCell ref="D39:F39"/>
    <mergeCell ref="Q39:S39"/>
    <mergeCell ref="D34:G34"/>
    <mergeCell ref="Q34:T34"/>
    <mergeCell ref="D35:F35"/>
    <mergeCell ref="Q35:S35"/>
    <mergeCell ref="D36:F36"/>
    <mergeCell ref="Q36:S36"/>
    <mergeCell ref="A4:G4"/>
  </mergeCells>
  <printOptions horizontalCentered="1"/>
  <pageMargins left="0" right="0" top="0.39370078740157483" bottom="0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11.4.1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Nicoleta Jianu</dc:creator>
  <cp:lastModifiedBy>Nicoleta Jianu</cp:lastModifiedBy>
  <cp:lastPrinted>2021-04-07T07:45:51Z</cp:lastPrinted>
  <dcterms:created xsi:type="dcterms:W3CDTF">2019-09-11T11:21:41Z</dcterms:created>
  <dcterms:modified xsi:type="dcterms:W3CDTF">2021-04-07T07:45:54Z</dcterms:modified>
</cp:coreProperties>
</file>